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teformeatl\OneDrive - promemploi\Bureau\Site\Ressources Cycle\Partenariat Automne-Détente\"/>
    </mc:Choice>
  </mc:AlternateContent>
  <xr:revisionPtr revIDLastSave="0" documentId="13_ncr:1_{E8488C1F-4515-473C-B8CD-57FB71E37050}" xr6:coauthVersionLast="47" xr6:coauthVersionMax="47" xr10:uidLastSave="{00000000-0000-0000-0000-000000000000}"/>
  <bookViews>
    <workbookView xWindow="30240" yWindow="1440" windowWidth="27000" windowHeight="14040" xr2:uid="{3575CD77-C212-49D0-AC20-8A230F06C95B}"/>
  </bookViews>
  <sheets>
    <sheet name="Calcul Frais des Partenaires" sheetId="1" r:id="rId1"/>
    <sheet name="Frais Partenaire Agréé" sheetId="2" r:id="rId2"/>
  </sheets>
  <definedNames>
    <definedName name="_xlnm.Print_Titles" localSheetId="0">'Calcul Frais des Partenaires'!$1:$1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2" l="1"/>
  <c r="D11" i="2"/>
  <c r="E11" i="2" s="1"/>
  <c r="F11" i="2" s="1"/>
  <c r="I11" i="2" s="1"/>
  <c r="E10" i="2"/>
  <c r="E9" i="2"/>
  <c r="F9" i="2" s="1"/>
  <c r="I9" i="2" s="1"/>
  <c r="E8" i="2"/>
  <c r="F8" i="2" s="1"/>
  <c r="I8" i="2" s="1"/>
  <c r="E7" i="2"/>
  <c r="F7" i="2" s="1"/>
  <c r="I7" i="2" s="1"/>
  <c r="E6" i="2"/>
  <c r="E5" i="2"/>
  <c r="E4" i="2"/>
  <c r="F4" i="2" s="1"/>
  <c r="I4" i="2" s="1"/>
  <c r="D4" i="2"/>
  <c r="D3" i="2"/>
  <c r="E3" i="2" s="1"/>
  <c r="F3" i="2" s="1"/>
  <c r="I3" i="2" s="1"/>
  <c r="E82" i="1"/>
  <c r="B87" i="1"/>
  <c r="B64" i="1"/>
  <c r="B47" i="1"/>
  <c r="C47" i="1"/>
  <c r="B17" i="1"/>
  <c r="C64" i="1"/>
  <c r="C87" i="1"/>
  <c r="B42" i="1"/>
  <c r="E59" i="1"/>
  <c r="E86" i="1"/>
  <c r="E85" i="1"/>
  <c r="E76" i="1"/>
  <c r="C58" i="1"/>
  <c r="B58" i="1"/>
  <c r="C57" i="1"/>
  <c r="B57" i="1"/>
  <c r="C56" i="1"/>
  <c r="B56" i="1"/>
  <c r="C55" i="1"/>
  <c r="B55" i="1"/>
  <c r="I13" i="2" l="1"/>
  <c r="E44" i="1"/>
  <c r="B60" i="1"/>
  <c r="C60" i="1"/>
  <c r="E55" i="1" s="1"/>
  <c r="C74" i="1"/>
  <c r="E79" i="1"/>
  <c r="E8" i="1"/>
  <c r="B74" i="1"/>
  <c r="E66" i="1" l="1"/>
  <c r="C77" i="1"/>
  <c r="B77" i="1"/>
  <c r="E5" i="1"/>
  <c r="E3" i="1"/>
  <c r="C29" i="1"/>
  <c r="E26" i="1"/>
  <c r="E75" i="1" l="1"/>
  <c r="E74" i="1"/>
  <c r="E63" i="1"/>
  <c r="E52" i="1"/>
  <c r="E31" i="1"/>
  <c r="E30" i="1"/>
  <c r="E23" i="1"/>
  <c r="E20" i="1"/>
  <c r="E13" i="1"/>
  <c r="C53" i="1"/>
  <c r="B53" i="1"/>
  <c r="C24" i="1"/>
  <c r="B24" i="1"/>
  <c r="C21" i="1"/>
  <c r="B21" i="1"/>
  <c r="C17" i="1"/>
  <c r="C14" i="1"/>
  <c r="E50" i="1" l="1"/>
  <c r="B89" i="1"/>
  <c r="B94" i="1" s="1"/>
  <c r="C90" i="1"/>
  <c r="C95" i="1" s="1"/>
  <c r="B32" i="1"/>
  <c r="C32" i="1"/>
  <c r="B37" i="1"/>
  <c r="C42" i="1"/>
  <c r="E39" i="1" s="1"/>
  <c r="C37" i="1"/>
  <c r="B88" i="1" l="1"/>
  <c r="E34" i="1"/>
  <c r="C48" i="1"/>
  <c r="B48" i="1"/>
  <c r="C88" i="1"/>
  <c r="C92" i="1" l="1"/>
  <c r="B91" i="1"/>
  <c r="B92" i="1" l="1"/>
  <c r="B96" i="1"/>
</calcChain>
</file>

<file path=xl/sharedStrings.xml><?xml version="1.0" encoding="utf-8"?>
<sst xmlns="http://schemas.openxmlformats.org/spreadsheetml/2006/main" count="238" uniqueCount="135">
  <si>
    <t>Electricité Bât 2 - 240 m²/29%</t>
  </si>
  <si>
    <t>Electricité Bât 1 - 100 m²/12%</t>
  </si>
  <si>
    <t>Electricité Bât préfab -  - totalité</t>
  </si>
  <si>
    <t>Mazout Bât 1 - 100 m²/12%</t>
  </si>
  <si>
    <t>Mazout Bât 2 - 240 m²/29%</t>
  </si>
  <si>
    <t>Electricité - Chauffage Bât préfab</t>
  </si>
  <si>
    <t>Eau Bât 1 - 100 m²/11%</t>
  </si>
  <si>
    <t>Eau Bât 2 - 240 m²/26%</t>
  </si>
  <si>
    <t>Eau - Bât préfab 100 m2/11%</t>
  </si>
  <si>
    <t>Jeux</t>
  </si>
  <si>
    <t>38 semaines</t>
  </si>
  <si>
    <t>22 semaines</t>
  </si>
  <si>
    <t>ASSURANCES</t>
  </si>
  <si>
    <t>Eau Bât 1 - 100 m²/1,1%</t>
  </si>
  <si>
    <t>Eau Bât 2 - 240 m²/2,7%</t>
  </si>
  <si>
    <t>Hall des sports 3700 m²/41%</t>
  </si>
  <si>
    <t>52 semaines</t>
  </si>
  <si>
    <t>Accidents du travail (3,69€/semaine)</t>
  </si>
  <si>
    <t>SALAIRES</t>
  </si>
  <si>
    <t>LOYER / LOCATION</t>
  </si>
  <si>
    <t>TRANSPORT</t>
  </si>
  <si>
    <t>Hall des sports géré par l'asbl ASCC</t>
  </si>
  <si>
    <t>CHARGE -ELECTRICITE</t>
  </si>
  <si>
    <t>CHARGE -CHAUFFAGE</t>
  </si>
  <si>
    <t>CHARGE -EAU</t>
  </si>
  <si>
    <t>ENTRETIEN /HYGIENE</t>
  </si>
  <si>
    <t>FRAIS ADMINISTRATIFS</t>
  </si>
  <si>
    <t>ALIMENTATION</t>
  </si>
  <si>
    <t>ACTIVITES</t>
  </si>
  <si>
    <t>DIVERS</t>
  </si>
  <si>
    <t>€ justifié par le partenaire nommé :</t>
  </si>
  <si>
    <t>Données pour calcul</t>
  </si>
  <si>
    <t>AES communal</t>
  </si>
  <si>
    <t>Note de frais -Leasing voiture  PAD</t>
  </si>
  <si>
    <t>((salaire 27596,37+pecule 1558,94)*1,06)/988 (52semainesx19h/sem)</t>
  </si>
  <si>
    <r>
      <rPr>
        <strike/>
        <sz val="9"/>
        <color theme="1"/>
        <rFont val="Century Gothic"/>
        <family val="2"/>
      </rPr>
      <t xml:space="preserve">Justif. </t>
    </r>
    <r>
      <rPr>
        <sz val="9"/>
        <color theme="1"/>
        <rFont val="Century Gothic"/>
        <family val="2"/>
      </rPr>
      <t>Declara° honneur</t>
    </r>
  </si>
  <si>
    <t>Encre impression carnet par enfant</t>
  </si>
  <si>
    <t>Consommable (marqueur, papier)</t>
  </si>
  <si>
    <t>Publicité (Facebook, école)</t>
  </si>
  <si>
    <t>Cartouches d'encre couleur</t>
  </si>
  <si>
    <t>Impression papier (folder &amp; affiche)</t>
  </si>
  <si>
    <t>Indemnités de volontariat Animagique asbl</t>
  </si>
  <si>
    <t>SALAIRES annexes aux salaires</t>
  </si>
  <si>
    <t>TOTAL CHARGES réparties par semaine</t>
  </si>
  <si>
    <t>Sous-total par catégorie</t>
  </si>
  <si>
    <t>52 semaines x 2 pers.</t>
  </si>
  <si>
    <t>TOTAL CHARGES pour AES communal</t>
  </si>
  <si>
    <t xml:space="preserve">Charges par enfant par semaine </t>
  </si>
  <si>
    <t>SUBVENTION MAXIMALE  pour AES communal</t>
  </si>
  <si>
    <t>Sô. Justifiées 
ONE</t>
  </si>
  <si>
    <t>300€ par semaine</t>
  </si>
  <si>
    <t>Chiffres insérés fichier ONE (12/2022)</t>
  </si>
  <si>
    <t>CUMUL DES CHARGES</t>
  </si>
  <si>
    <t>par sem.(élec/chauff/eau)</t>
  </si>
  <si>
    <t>&lt;&lt;&lt;&lt;&lt;&lt;&lt;&lt;&lt;</t>
  </si>
  <si>
    <t>voir chiffres en noir</t>
  </si>
  <si>
    <t>PAD S08</t>
  </si>
  <si>
    <t>PAD S09</t>
  </si>
  <si>
    <t xml:space="preserve">Coordinatrice Delphyna FREDERIC Punch </t>
  </si>
  <si>
    <t>Animatrice Lauréane KRENS, Emploi PFI Punch</t>
  </si>
  <si>
    <t>Animatrice Eleonore Rifon Punch</t>
  </si>
  <si>
    <t>Animateur Boris Libert Punch</t>
  </si>
  <si>
    <t>réparti sur les 2 semaines</t>
  </si>
  <si>
    <t>Contenant Jeux (malles)</t>
  </si>
  <si>
    <t>Facture Wesco Contenu Malles ,,, (,,,€ /2)</t>
  </si>
  <si>
    <t>Animatrice spécifique Madisson Aubry Punch refact</t>
  </si>
  <si>
    <t>Frais annexe aux salaires Punch</t>
  </si>
  <si>
    <t>EGAL(PAF parents 70€ x50)-charges</t>
  </si>
  <si>
    <t>Asbl Animagique</t>
  </si>
  <si>
    <t>Publicité (affiche &amp; horaire)</t>
  </si>
  <si>
    <t>Pharmacie</t>
  </si>
  <si>
    <t>ONSSPunch asbl (SALAIRES NON DEFINIS)</t>
  </si>
  <si>
    <t>Facture jointe</t>
  </si>
  <si>
    <t>Stage (encadrant et enfants) Facture Croon</t>
  </si>
  <si>
    <t>Annexes fournies</t>
  </si>
  <si>
    <t>FicheDePaie jointe</t>
  </si>
  <si>
    <t>(50 enfts S08 &amp;82 enfts S09)</t>
  </si>
  <si>
    <t>EGAL(PAF parents 50€ x82)-charges</t>
  </si>
  <si>
    <t>Justificatif Animagique</t>
  </si>
  <si>
    <t>Assurance</t>
  </si>
  <si>
    <t>Graphisme publicitéBryce (2h à ...€/h /2sem.)</t>
  </si>
  <si>
    <t>Prénom 
Agent</t>
  </si>
  <si>
    <t>Fonctions</t>
  </si>
  <si>
    <t>Type 
contrat</t>
  </si>
  <si>
    <t>Brut mensuel cot patronales</t>
  </si>
  <si>
    <t>Semaine /4,35</t>
  </si>
  <si>
    <t>Salaire
 horaire</t>
  </si>
  <si>
    <t>Heures effectuées 
sem 1 du PAD</t>
  </si>
  <si>
    <t>Heures effectuées 
sem 2 du PAD</t>
  </si>
  <si>
    <t>Coût total</t>
  </si>
  <si>
    <t>Annie</t>
  </si>
  <si>
    <t>Accueillant-e</t>
  </si>
  <si>
    <t>CDI</t>
  </si>
  <si>
    <t>Bernadette</t>
  </si>
  <si>
    <t>Claude</t>
  </si>
  <si>
    <t>Donna</t>
  </si>
  <si>
    <t>Elodie</t>
  </si>
  <si>
    <t>Femme d'ouvrage</t>
  </si>
  <si>
    <t>Francis</t>
  </si>
  <si>
    <t>Georges</t>
  </si>
  <si>
    <t>Hiris</t>
  </si>
  <si>
    <t>Iseult</t>
  </si>
  <si>
    <t>Jules</t>
  </si>
  <si>
    <r>
      <t>Nom du partenaire agréé :</t>
    </r>
    <r>
      <rPr>
        <sz val="11"/>
        <color rgb="FFFF0000"/>
        <rFont val="Calibri"/>
        <family val="2"/>
        <scheme val="minor"/>
      </rPr>
      <t xml:space="preserve"> AES communal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de Ramillies</t>
    </r>
  </si>
  <si>
    <t>Accueillante D</t>
  </si>
  <si>
    <t>Accueillante C</t>
  </si>
  <si>
    <t>Accueillante B</t>
  </si>
  <si>
    <t>Accueillante A</t>
  </si>
  <si>
    <r>
      <t xml:space="preserve">PAD année /semaine </t>
    </r>
    <r>
      <rPr>
        <b/>
        <sz val="10"/>
        <color rgb="FFFF0000"/>
        <rFont val="Century Gothic"/>
        <family val="2"/>
      </rPr>
      <t>2023 S 08 &amp; 09</t>
    </r>
  </si>
  <si>
    <t>Agent d'entretien, E,,, (5h&amp;1h)</t>
  </si>
  <si>
    <t>Agent d'entretien, F,,, (5,5h&amp;3h)</t>
  </si>
  <si>
    <t>S.Finances, M.. (2h à 30€/h)</t>
  </si>
  <si>
    <t>S.Finances, P.. (2h à 42€/h)</t>
  </si>
  <si>
    <t>S.Personnel, G.. (2h à 33 €/h)</t>
  </si>
  <si>
    <t>S.Administratif, H...(6h à 31€/h)</t>
  </si>
  <si>
    <t>Frais administratifs Partenaires</t>
  </si>
  <si>
    <t>Facture Delhaize/GB/Colruylt/ …</t>
  </si>
  <si>
    <t>Facture Malles 2000€ /2)</t>
  </si>
  <si>
    <t>Facture Wesco Contenu Malles Jardin (1000 € /2)</t>
  </si>
  <si>
    <t>Facture Wesco Contenu Malles Musique (1000€ /2)</t>
  </si>
  <si>
    <t>Facture Wesco Contenu Malles Jeu libre (600€/2)</t>
  </si>
  <si>
    <t>Facture Wesco Contenu Malles Cirque (1200€ /2)</t>
  </si>
  <si>
    <t>Note de frais - Partenaire ,,,,,,,,,,,,,</t>
  </si>
  <si>
    <t>Facture AMAZON ,,,,,</t>
  </si>
  <si>
    <t>Activités ,,,,,,,,,,,,,,,,,,,,,, asbl</t>
  </si>
  <si>
    <t>Animations externes ,,,,,,,,,,,,,,,,,,, asbl</t>
  </si>
  <si>
    <t>Asbl ….....</t>
  </si>
  <si>
    <t>Asbl …........................</t>
  </si>
  <si>
    <t>Asbl ….............</t>
  </si>
  <si>
    <t>Asbl …...................</t>
  </si>
  <si>
    <t>TOTAL CHARGES pour ,,,,,,,,,,,, asbl</t>
  </si>
  <si>
    <t>TOTAL CHARGES pour ,,,,,,,,,,,,,,,, asbl</t>
  </si>
  <si>
    <t>TOTAL RECETTES pour ,,,,,,,,,,, asbl</t>
  </si>
  <si>
    <t>TOTAL RECETTES pour ,,,,,,,,,,,,,, asbl</t>
  </si>
  <si>
    <t>Nom fictif!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</si>
</sst>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i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10"/>
      <color theme="4"/>
      <name val="Century Gothic"/>
      <family val="2"/>
    </font>
    <font>
      <sz val="10"/>
      <name val="Century Gothic"/>
      <family val="2"/>
    </font>
    <font>
      <strike/>
      <sz val="9"/>
      <color theme="1"/>
      <name val="Century Gothic"/>
      <family val="2"/>
    </font>
    <font>
      <b/>
      <i/>
      <sz val="10"/>
      <color rgb="FFFF0000"/>
      <name val="Century Gothic"/>
      <family val="2"/>
    </font>
    <font>
      <b/>
      <sz val="10"/>
      <color rgb="FFFF0000"/>
      <name val="Century Gothic"/>
      <family val="2"/>
    </font>
    <font>
      <b/>
      <i/>
      <sz val="10"/>
      <color rgb="FFFFFF00"/>
      <name val="Century Gothic"/>
      <family val="2"/>
    </font>
    <font>
      <b/>
      <sz val="10"/>
      <color rgb="FFFFFF00"/>
      <name val="Century Gothic"/>
      <family val="2"/>
    </font>
    <font>
      <b/>
      <sz val="9"/>
      <color theme="9"/>
      <name val="Century Gothic"/>
      <family val="2"/>
    </font>
    <font>
      <sz val="9"/>
      <color theme="9"/>
      <name val="Century Gothic"/>
      <family val="2"/>
    </font>
    <font>
      <b/>
      <sz val="9"/>
      <color rgb="FF7030A0"/>
      <name val="Century Gothic"/>
      <family val="2"/>
    </font>
    <font>
      <sz val="9"/>
      <color rgb="FF7030A0"/>
      <name val="Century Gothic"/>
      <family val="2"/>
    </font>
    <font>
      <b/>
      <sz val="9"/>
      <color theme="5"/>
      <name val="Century Gothic"/>
      <family val="2"/>
    </font>
    <font>
      <sz val="9"/>
      <color theme="5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10"/>
      <color rgb="FFFF0000"/>
      <name val="Century Gothic"/>
      <family val="2"/>
    </font>
    <font>
      <b/>
      <sz val="10"/>
      <color theme="5"/>
      <name val="Century Gothic"/>
      <family val="2"/>
    </font>
    <font>
      <b/>
      <sz val="10"/>
      <color theme="9"/>
      <name val="Century Gothic"/>
      <family val="2"/>
    </font>
    <font>
      <b/>
      <i/>
      <sz val="10"/>
      <color theme="5"/>
      <name val="Century Gothic"/>
      <family val="2"/>
    </font>
    <font>
      <b/>
      <i/>
      <sz val="10"/>
      <color theme="9"/>
      <name val="Century Gothic"/>
      <family val="2"/>
    </font>
    <font>
      <sz val="10"/>
      <color theme="9"/>
      <name val="Century Gothic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shrinkToFit="1"/>
    </xf>
    <xf numFmtId="0" fontId="5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2" fontId="13" fillId="5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vertical="center"/>
    </xf>
    <xf numFmtId="2" fontId="2" fillId="6" borderId="1" xfId="0" applyNumberFormat="1" applyFont="1" applyFill="1" applyBorder="1" applyAlignment="1">
      <alignment horizontal="right" vertical="center" wrapText="1"/>
    </xf>
    <xf numFmtId="2" fontId="2" fillId="6" borderId="1" xfId="0" applyNumberFormat="1" applyFont="1" applyFill="1" applyBorder="1" applyAlignment="1">
      <alignment horizontal="right" vertical="center"/>
    </xf>
    <xf numFmtId="2" fontId="1" fillId="6" borderId="1" xfId="0" applyNumberFormat="1" applyFont="1" applyFill="1" applyBorder="1" applyAlignment="1">
      <alignment horizontal="right" vertical="center"/>
    </xf>
    <xf numFmtId="2" fontId="7" fillId="6" borderId="1" xfId="0" applyNumberFormat="1" applyFont="1" applyFill="1" applyBorder="1" applyAlignment="1">
      <alignment horizontal="right" vertical="center"/>
    </xf>
    <xf numFmtId="2" fontId="8" fillId="6" borderId="1" xfId="0" applyNumberFormat="1" applyFont="1" applyFill="1" applyBorder="1" applyAlignment="1">
      <alignment horizontal="right" vertical="center"/>
    </xf>
    <xf numFmtId="2" fontId="1" fillId="6" borderId="1" xfId="0" applyNumberFormat="1" applyFont="1" applyFill="1" applyBorder="1" applyAlignment="1">
      <alignment vertical="center"/>
    </xf>
    <xf numFmtId="2" fontId="7" fillId="6" borderId="1" xfId="0" applyNumberFormat="1" applyFont="1" applyFill="1" applyBorder="1" applyAlignment="1">
      <alignment vertical="center"/>
    </xf>
    <xf numFmtId="2" fontId="2" fillId="6" borderId="1" xfId="0" applyNumberFormat="1" applyFont="1" applyFill="1" applyBorder="1" applyAlignment="1">
      <alignment vertical="center"/>
    </xf>
    <xf numFmtId="2" fontId="11" fillId="6" borderId="1" xfId="0" applyNumberFormat="1" applyFont="1" applyFill="1" applyBorder="1" applyAlignment="1">
      <alignment vertical="center"/>
    </xf>
    <xf numFmtId="2" fontId="2" fillId="7" borderId="1" xfId="0" applyNumberFormat="1" applyFont="1" applyFill="1" applyBorder="1" applyAlignment="1">
      <alignment horizontal="right" vertical="center" wrapText="1"/>
    </xf>
    <xf numFmtId="2" fontId="2" fillId="7" borderId="1" xfId="0" applyNumberFormat="1" applyFont="1" applyFill="1" applyBorder="1" applyAlignment="1">
      <alignment horizontal="right" vertical="center"/>
    </xf>
    <xf numFmtId="2" fontId="1" fillId="7" borderId="1" xfId="0" applyNumberFormat="1" applyFont="1" applyFill="1" applyBorder="1" applyAlignment="1">
      <alignment horizontal="right" vertical="center"/>
    </xf>
    <xf numFmtId="2" fontId="23" fillId="7" borderId="1" xfId="0" applyNumberFormat="1" applyFont="1" applyFill="1" applyBorder="1" applyAlignment="1">
      <alignment horizontal="right" vertical="center"/>
    </xf>
    <xf numFmtId="2" fontId="7" fillId="7" borderId="1" xfId="0" applyNumberFormat="1" applyFont="1" applyFill="1" applyBorder="1" applyAlignment="1">
      <alignment horizontal="right" vertical="center"/>
    </xf>
    <xf numFmtId="2" fontId="8" fillId="7" borderId="1" xfId="0" applyNumberFormat="1" applyFont="1" applyFill="1" applyBorder="1" applyAlignment="1">
      <alignment horizontal="right" vertical="center"/>
    </xf>
    <xf numFmtId="2" fontId="1" fillId="7" borderId="1" xfId="0" applyNumberFormat="1" applyFont="1" applyFill="1" applyBorder="1" applyAlignment="1">
      <alignment vertical="center"/>
    </xf>
    <xf numFmtId="2" fontId="7" fillId="7" borderId="1" xfId="0" applyNumberFormat="1" applyFont="1" applyFill="1" applyBorder="1" applyAlignment="1">
      <alignment vertical="center"/>
    </xf>
    <xf numFmtId="2" fontId="2" fillId="7" borderId="1" xfId="0" applyNumberFormat="1" applyFont="1" applyFill="1" applyBorder="1" applyAlignment="1">
      <alignment vertical="center"/>
    </xf>
    <xf numFmtId="2" fontId="11" fillId="7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 indent="1"/>
    </xf>
    <xf numFmtId="2" fontId="8" fillId="7" borderId="1" xfId="0" applyNumberFormat="1" applyFont="1" applyFill="1" applyBorder="1" applyAlignment="1">
      <alignment vertical="center"/>
    </xf>
    <xf numFmtId="2" fontId="8" fillId="6" borderId="1" xfId="0" applyNumberFormat="1" applyFont="1" applyFill="1" applyBorder="1" applyAlignment="1">
      <alignment vertical="center"/>
    </xf>
    <xf numFmtId="2" fontId="14" fillId="3" borderId="3" xfId="0" applyNumberFormat="1" applyFont="1" applyFill="1" applyBorder="1" applyAlignment="1">
      <alignment horizontal="center" vertical="center"/>
    </xf>
    <xf numFmtId="2" fontId="18" fillId="3" borderId="3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2" fontId="18" fillId="3" borderId="1" xfId="0" applyNumberFormat="1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2" fontId="24" fillId="0" borderId="1" xfId="0" applyNumberFormat="1" applyFont="1" applyBorder="1" applyAlignment="1">
      <alignment vertical="center"/>
    </xf>
    <xf numFmtId="2" fontId="25" fillId="0" borderId="1" xfId="0" applyNumberFormat="1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16" fillId="3" borderId="4" xfId="0" applyFont="1" applyFill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vertical="center"/>
    </xf>
    <xf numFmtId="2" fontId="16" fillId="3" borderId="2" xfId="0" applyNumberFormat="1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2" fontId="14" fillId="3" borderId="2" xfId="0" applyNumberFormat="1" applyFont="1" applyFill="1" applyBorder="1" applyAlignment="1">
      <alignment horizontal="center" vertical="center"/>
    </xf>
    <xf numFmtId="2" fontId="14" fillId="3" borderId="4" xfId="0" applyNumberFormat="1" applyFont="1" applyFill="1" applyBorder="1" applyAlignment="1">
      <alignment horizontal="center" vertical="center"/>
    </xf>
    <xf numFmtId="2" fontId="16" fillId="3" borderId="2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2" fontId="16" fillId="3" borderId="4" xfId="0" applyNumberFormat="1" applyFont="1" applyFill="1" applyBorder="1" applyAlignment="1">
      <alignment horizontal="center" vertical="center"/>
    </xf>
    <xf numFmtId="2" fontId="16" fillId="3" borderId="3" xfId="0" applyNumberFormat="1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2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32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2" fontId="32" fillId="11" borderId="1" xfId="0" applyNumberFormat="1" applyFont="1" applyFill="1" applyBorder="1" applyAlignment="1">
      <alignment horizontal="center" vertical="center"/>
    </xf>
    <xf numFmtId="0" fontId="32" fillId="11" borderId="1" xfId="0" applyFont="1" applyFill="1" applyBorder="1" applyAlignment="1">
      <alignment horizontal="center" vertical="center"/>
    </xf>
    <xf numFmtId="0" fontId="29" fillId="11" borderId="1" xfId="0" applyFont="1" applyFill="1" applyBorder="1" applyAlignment="1">
      <alignment horizontal="center" vertical="center"/>
    </xf>
    <xf numFmtId="2" fontId="8" fillId="12" borderId="1" xfId="0" applyNumberFormat="1" applyFont="1" applyFill="1" applyBorder="1" applyAlignment="1">
      <alignment horizontal="right" vertical="center"/>
    </xf>
    <xf numFmtId="2" fontId="8" fillId="12" borderId="2" xfId="0" applyNumberFormat="1" applyFont="1" applyFill="1" applyBorder="1" applyAlignment="1">
      <alignment horizontal="center" vertical="center"/>
    </xf>
    <xf numFmtId="2" fontId="8" fillId="12" borderId="4" xfId="0" applyNumberFormat="1" applyFont="1" applyFill="1" applyBorder="1" applyAlignment="1">
      <alignment horizontal="center" vertical="center"/>
    </xf>
    <xf numFmtId="2" fontId="8" fillId="12" borderId="3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  <color rgb="FFFF7C80"/>
      <color rgb="FF735D71"/>
      <color rgb="FF874972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3050C-4953-4684-9E2F-2A2BBD2D5E0A}">
  <dimension ref="A1:I96"/>
  <sheetViews>
    <sheetView tabSelected="1" zoomScale="130" zoomScaleNormal="130" workbookViewId="0">
      <pane ySplit="1" topLeftCell="A2" activePane="bottomLeft" state="frozen"/>
      <selection pane="bottomLeft" activeCell="A98" sqref="A98"/>
    </sheetView>
  </sheetViews>
  <sheetFormatPr baseColWidth="10" defaultColWidth="11.44140625" defaultRowHeight="13.2" x14ac:dyDescent="0.3"/>
  <cols>
    <col min="1" max="1" width="47.33203125" style="14" customWidth="1"/>
    <col min="2" max="2" width="9.44140625" style="24" customWidth="1"/>
    <col min="3" max="3" width="8.6640625" style="24" customWidth="1"/>
    <col min="4" max="4" width="22" style="4" customWidth="1"/>
    <col min="5" max="5" width="11.33203125" style="73" customWidth="1"/>
    <col min="6" max="6" width="18.44140625" style="4" customWidth="1"/>
    <col min="7" max="7" width="20.33203125" style="2" customWidth="1"/>
    <col min="8" max="8" width="11.44140625" style="3"/>
    <col min="9" max="9" width="26.44140625" style="4" customWidth="1"/>
    <col min="10" max="16384" width="11.44140625" style="2"/>
  </cols>
  <sheetData>
    <row r="1" spans="1:9" s="19" customFormat="1" ht="27.75" customHeight="1" x14ac:dyDescent="0.3">
      <c r="A1" s="22" t="s">
        <v>108</v>
      </c>
      <c r="B1" s="52" t="s">
        <v>56</v>
      </c>
      <c r="C1" s="43" t="s">
        <v>57</v>
      </c>
      <c r="D1" s="18" t="s">
        <v>31</v>
      </c>
      <c r="E1" s="67" t="s">
        <v>49</v>
      </c>
      <c r="F1" s="18" t="s">
        <v>30</v>
      </c>
      <c r="G1" s="22" t="s">
        <v>74</v>
      </c>
      <c r="H1" s="20"/>
      <c r="I1" s="21"/>
    </row>
    <row r="2" spans="1:9" x14ac:dyDescent="0.3">
      <c r="A2" s="5" t="s">
        <v>18</v>
      </c>
      <c r="B2" s="53"/>
      <c r="C2" s="44"/>
      <c r="D2" s="7"/>
      <c r="E2" s="68"/>
      <c r="F2" s="7"/>
      <c r="G2" s="9"/>
    </row>
    <row r="3" spans="1:9" x14ac:dyDescent="0.3">
      <c r="A3" s="9" t="s">
        <v>107</v>
      </c>
      <c r="B3" s="54"/>
      <c r="C3" s="47">
        <v>900</v>
      </c>
      <c r="D3" s="1"/>
      <c r="E3" s="83">
        <f>SUM(B4:B6)</f>
        <v>1500</v>
      </c>
      <c r="F3" s="39" t="s">
        <v>32</v>
      </c>
      <c r="G3" s="9"/>
    </row>
    <row r="4" spans="1:9" x14ac:dyDescent="0.3">
      <c r="A4" s="9" t="s">
        <v>106</v>
      </c>
      <c r="B4" s="57">
        <v>800</v>
      </c>
      <c r="C4" s="45"/>
      <c r="D4" s="1"/>
      <c r="E4" s="84"/>
      <c r="F4" s="39" t="s">
        <v>32</v>
      </c>
      <c r="G4" s="9"/>
    </row>
    <row r="5" spans="1:9" x14ac:dyDescent="0.3">
      <c r="A5" s="9" t="s">
        <v>105</v>
      </c>
      <c r="B5" s="54"/>
      <c r="C5" s="47">
        <v>800</v>
      </c>
      <c r="D5" s="1"/>
      <c r="E5" s="83">
        <f>SUM(C3:C5)</f>
        <v>1700</v>
      </c>
      <c r="F5" s="39" t="s">
        <v>32</v>
      </c>
      <c r="G5" s="9"/>
    </row>
    <row r="6" spans="1:9" x14ac:dyDescent="0.3">
      <c r="A6" s="9" t="s">
        <v>104</v>
      </c>
      <c r="B6" s="57">
        <v>700</v>
      </c>
      <c r="C6" s="45"/>
      <c r="D6" s="1"/>
      <c r="E6" s="84"/>
      <c r="F6" s="39" t="s">
        <v>32</v>
      </c>
      <c r="G6" s="9"/>
    </row>
    <row r="7" spans="1:9" x14ac:dyDescent="0.3">
      <c r="A7" s="9" t="s">
        <v>65</v>
      </c>
      <c r="B7" s="106">
        <v>600</v>
      </c>
      <c r="C7" s="45"/>
      <c r="D7" s="1"/>
      <c r="E7" s="81">
        <v>680</v>
      </c>
      <c r="F7" s="39" t="s">
        <v>32</v>
      </c>
      <c r="G7" s="80" t="s">
        <v>75</v>
      </c>
    </row>
    <row r="8" spans="1:9" x14ac:dyDescent="0.3">
      <c r="A8" s="9" t="s">
        <v>58</v>
      </c>
      <c r="B8" s="107">
        <v>2700</v>
      </c>
      <c r="C8" s="45"/>
      <c r="D8" s="1"/>
      <c r="E8" s="85">
        <f>2702</f>
        <v>2702</v>
      </c>
      <c r="F8" s="38" t="s">
        <v>126</v>
      </c>
      <c r="G8" s="80" t="s">
        <v>75</v>
      </c>
    </row>
    <row r="9" spans="1:9" x14ac:dyDescent="0.3">
      <c r="A9" s="9" t="s">
        <v>59</v>
      </c>
      <c r="B9" s="108"/>
      <c r="C9" s="45"/>
      <c r="D9" s="28"/>
      <c r="E9" s="86"/>
      <c r="F9" s="38" t="s">
        <v>126</v>
      </c>
      <c r="G9" s="80" t="s">
        <v>75</v>
      </c>
    </row>
    <row r="10" spans="1:9" x14ac:dyDescent="0.3">
      <c r="A10" s="9" t="s">
        <v>60</v>
      </c>
      <c r="B10" s="108"/>
      <c r="C10" s="45"/>
      <c r="D10" s="28"/>
      <c r="E10" s="86"/>
      <c r="F10" s="38" t="s">
        <v>126</v>
      </c>
      <c r="G10" s="80" t="s">
        <v>75</v>
      </c>
    </row>
    <row r="11" spans="1:9" x14ac:dyDescent="0.3">
      <c r="A11" s="9" t="s">
        <v>61</v>
      </c>
      <c r="B11" s="109"/>
      <c r="C11" s="45"/>
      <c r="D11" s="1"/>
      <c r="E11" s="86"/>
      <c r="F11" s="38" t="s">
        <v>126</v>
      </c>
      <c r="G11" s="80" t="s">
        <v>75</v>
      </c>
    </row>
    <row r="12" spans="1:9" x14ac:dyDescent="0.3">
      <c r="A12" s="9" t="s">
        <v>71</v>
      </c>
      <c r="B12" s="57"/>
      <c r="C12" s="45"/>
      <c r="D12" s="1"/>
      <c r="E12" s="86"/>
      <c r="F12" s="38" t="s">
        <v>126</v>
      </c>
      <c r="G12" s="9"/>
    </row>
    <row r="13" spans="1:9" x14ac:dyDescent="0.3">
      <c r="A13" s="9" t="s">
        <v>41</v>
      </c>
      <c r="B13" s="55"/>
      <c r="C13" s="47">
        <v>2000</v>
      </c>
      <c r="D13" s="1"/>
      <c r="E13" s="69">
        <f>SUM(C13)</f>
        <v>2000</v>
      </c>
      <c r="F13" s="40" t="s">
        <v>129</v>
      </c>
      <c r="G13" s="9"/>
    </row>
    <row r="14" spans="1:9" x14ac:dyDescent="0.3">
      <c r="A14" s="29" t="s">
        <v>44</v>
      </c>
      <c r="B14" s="56">
        <v>0</v>
      </c>
      <c r="C14" s="46">
        <f>SUM(C3:C13)</f>
        <v>3700</v>
      </c>
      <c r="D14" s="1"/>
      <c r="E14" s="68"/>
      <c r="F14" s="1"/>
      <c r="G14" s="9"/>
    </row>
    <row r="15" spans="1:9" x14ac:dyDescent="0.3">
      <c r="A15" s="5" t="s">
        <v>42</v>
      </c>
      <c r="B15" s="56"/>
      <c r="C15" s="45"/>
      <c r="D15" s="7"/>
      <c r="E15" s="68"/>
      <c r="F15" s="7"/>
      <c r="G15" s="9"/>
    </row>
    <row r="16" spans="1:9" x14ac:dyDescent="0.3">
      <c r="A16" s="9" t="s">
        <v>66</v>
      </c>
      <c r="B16" s="57">
        <v>1000</v>
      </c>
      <c r="C16" s="45">
        <v>0</v>
      </c>
      <c r="D16" s="1"/>
      <c r="E16" s="70">
        <v>1080</v>
      </c>
      <c r="F16" s="38" t="s">
        <v>126</v>
      </c>
      <c r="G16" s="9"/>
    </row>
    <row r="17" spans="1:7" x14ac:dyDescent="0.3">
      <c r="A17" s="29" t="s">
        <v>44</v>
      </c>
      <c r="B17" s="56">
        <f>SUM(B16)</f>
        <v>1000</v>
      </c>
      <c r="C17" s="46">
        <f>SUM(C16)</f>
        <v>0</v>
      </c>
      <c r="D17" s="1"/>
      <c r="E17" s="68"/>
      <c r="F17" s="28"/>
      <c r="G17" s="9"/>
    </row>
    <row r="18" spans="1:7" x14ac:dyDescent="0.3">
      <c r="A18" s="5" t="s">
        <v>19</v>
      </c>
      <c r="B18" s="53"/>
      <c r="C18" s="44"/>
      <c r="D18" s="7"/>
      <c r="E18" s="68"/>
      <c r="F18" s="7"/>
      <c r="G18" s="9"/>
    </row>
    <row r="19" spans="1:7" x14ac:dyDescent="0.3">
      <c r="A19" s="9" t="s">
        <v>21</v>
      </c>
      <c r="B19" s="57"/>
      <c r="C19" s="47">
        <v>300</v>
      </c>
      <c r="D19" s="1" t="s">
        <v>50</v>
      </c>
      <c r="E19" s="71">
        <v>300</v>
      </c>
      <c r="F19" s="39" t="s">
        <v>32</v>
      </c>
      <c r="G19" s="9"/>
    </row>
    <row r="20" spans="1:7" x14ac:dyDescent="0.3">
      <c r="A20" s="9" t="s">
        <v>33</v>
      </c>
      <c r="B20" s="57">
        <v>0</v>
      </c>
      <c r="C20" s="47"/>
      <c r="D20" s="1"/>
      <c r="E20" s="70">
        <f>SUM(B20)</f>
        <v>0</v>
      </c>
      <c r="F20" s="38" t="s">
        <v>126</v>
      </c>
      <c r="G20" s="9"/>
    </row>
    <row r="21" spans="1:7" x14ac:dyDescent="0.3">
      <c r="A21" s="29" t="s">
        <v>44</v>
      </c>
      <c r="B21" s="56">
        <f>SUM(B19:B20)</f>
        <v>0</v>
      </c>
      <c r="C21" s="46">
        <f>SUM(C19:C20)</f>
        <v>300</v>
      </c>
      <c r="D21" s="1"/>
      <c r="E21" s="68"/>
      <c r="F21" s="1"/>
      <c r="G21" s="9"/>
    </row>
    <row r="22" spans="1:7" x14ac:dyDescent="0.3">
      <c r="A22" s="5" t="s">
        <v>20</v>
      </c>
      <c r="B22" s="54"/>
      <c r="C22" s="45"/>
      <c r="D22" s="7"/>
      <c r="E22" s="68"/>
      <c r="F22" s="7"/>
      <c r="G22" s="9"/>
    </row>
    <row r="23" spans="1:7" x14ac:dyDescent="0.3">
      <c r="A23" s="9" t="s">
        <v>78</v>
      </c>
      <c r="B23" s="58">
        <v>0</v>
      </c>
      <c r="C23" s="48">
        <v>20</v>
      </c>
      <c r="D23" s="1"/>
      <c r="E23" s="69">
        <f>SUM(C23)</f>
        <v>20</v>
      </c>
      <c r="F23" s="40" t="s">
        <v>128</v>
      </c>
      <c r="G23" s="9"/>
    </row>
    <row r="24" spans="1:7" x14ac:dyDescent="0.3">
      <c r="A24" s="29" t="s">
        <v>44</v>
      </c>
      <c r="B24" s="59">
        <f>SUM(B23)</f>
        <v>0</v>
      </c>
      <c r="C24" s="49">
        <f>SUM(C23)</f>
        <v>20</v>
      </c>
      <c r="D24" s="1"/>
      <c r="E24" s="68"/>
      <c r="F24" s="1"/>
      <c r="G24" s="9"/>
    </row>
    <row r="25" spans="1:7" x14ac:dyDescent="0.3">
      <c r="A25" s="5" t="s">
        <v>12</v>
      </c>
      <c r="B25" s="58"/>
      <c r="C25" s="48"/>
      <c r="D25" s="7"/>
      <c r="E25" s="68"/>
      <c r="F25" s="7"/>
      <c r="G25" s="9"/>
    </row>
    <row r="26" spans="1:7" x14ac:dyDescent="0.3">
      <c r="A26" s="8" t="s">
        <v>13</v>
      </c>
      <c r="B26" s="58">
        <v>2</v>
      </c>
      <c r="C26" s="48">
        <v>1.86</v>
      </c>
      <c r="D26" s="1" t="s">
        <v>16</v>
      </c>
      <c r="E26" s="83">
        <f>SUM(B26:B29)*2</f>
        <v>148</v>
      </c>
      <c r="F26" s="39" t="s">
        <v>32</v>
      </c>
      <c r="G26" s="9"/>
    </row>
    <row r="27" spans="1:7" x14ac:dyDescent="0.3">
      <c r="A27" s="8" t="s">
        <v>14</v>
      </c>
      <c r="B27" s="58">
        <v>5</v>
      </c>
      <c r="C27" s="48">
        <v>4.5599999999999996</v>
      </c>
      <c r="D27" s="1" t="s">
        <v>16</v>
      </c>
      <c r="E27" s="89"/>
      <c r="F27" s="39" t="s">
        <v>32</v>
      </c>
      <c r="G27" s="9"/>
    </row>
    <row r="28" spans="1:7" x14ac:dyDescent="0.3">
      <c r="A28" s="8" t="s">
        <v>15</v>
      </c>
      <c r="B28" s="58">
        <v>60</v>
      </c>
      <c r="C28" s="48">
        <v>69.290000000000006</v>
      </c>
      <c r="D28" s="1" t="s">
        <v>16</v>
      </c>
      <c r="E28" s="89"/>
      <c r="F28" s="39" t="s">
        <v>32</v>
      </c>
      <c r="G28" s="9"/>
    </row>
    <row r="29" spans="1:7" x14ac:dyDescent="0.3">
      <c r="A29" s="8" t="s">
        <v>17</v>
      </c>
      <c r="B29" s="58">
        <v>7</v>
      </c>
      <c r="C29" s="48">
        <f>3.69*2</f>
        <v>7.38</v>
      </c>
      <c r="D29" s="1" t="s">
        <v>45</v>
      </c>
      <c r="E29" s="90"/>
      <c r="F29" s="39" t="s">
        <v>32</v>
      </c>
      <c r="G29" s="9"/>
    </row>
    <row r="30" spans="1:7" x14ac:dyDescent="0.3">
      <c r="A30" s="8" t="s">
        <v>73</v>
      </c>
      <c r="B30" s="63">
        <v>300</v>
      </c>
      <c r="C30" s="64">
        <v>0</v>
      </c>
      <c r="D30" s="1"/>
      <c r="E30" s="70">
        <f>SUM(B30)</f>
        <v>300</v>
      </c>
      <c r="F30" s="38" t="s">
        <v>126</v>
      </c>
      <c r="G30" s="80" t="s">
        <v>72</v>
      </c>
    </row>
    <row r="31" spans="1:7" x14ac:dyDescent="0.3">
      <c r="A31" s="8" t="s">
        <v>79</v>
      </c>
      <c r="B31" s="63">
        <v>200</v>
      </c>
      <c r="C31" s="64">
        <v>200</v>
      </c>
      <c r="D31" s="1"/>
      <c r="E31" s="69">
        <f>SUM(C31)</f>
        <v>200</v>
      </c>
      <c r="F31" s="40" t="s">
        <v>127</v>
      </c>
      <c r="G31" s="9"/>
    </row>
    <row r="32" spans="1:7" x14ac:dyDescent="0.3">
      <c r="A32" s="29" t="s">
        <v>44</v>
      </c>
      <c r="B32" s="59">
        <f>SUM(B26:B31)</f>
        <v>574</v>
      </c>
      <c r="C32" s="49">
        <f>SUM(C26:C31)</f>
        <v>283.09000000000003</v>
      </c>
      <c r="D32" s="1"/>
      <c r="E32" s="68"/>
      <c r="F32" s="1"/>
      <c r="G32" s="9"/>
    </row>
    <row r="33" spans="1:9" x14ac:dyDescent="0.3">
      <c r="A33" s="5" t="s">
        <v>22</v>
      </c>
      <c r="B33" s="60"/>
      <c r="C33" s="50"/>
      <c r="D33" s="7"/>
      <c r="E33" s="68"/>
      <c r="F33" s="7"/>
      <c r="G33" s="9"/>
      <c r="H33" s="2"/>
      <c r="I33" s="2"/>
    </row>
    <row r="34" spans="1:9" x14ac:dyDescent="0.3">
      <c r="A34" s="8" t="s">
        <v>1</v>
      </c>
      <c r="B34" s="58">
        <v>40</v>
      </c>
      <c r="C34" s="48">
        <v>40</v>
      </c>
      <c r="D34" s="1" t="s">
        <v>10</v>
      </c>
      <c r="E34" s="87">
        <f>B37+C37</f>
        <v>310</v>
      </c>
      <c r="F34" s="39" t="s">
        <v>32</v>
      </c>
      <c r="G34" s="9"/>
      <c r="H34" s="2"/>
      <c r="I34" s="2"/>
    </row>
    <row r="35" spans="1:9" x14ac:dyDescent="0.3">
      <c r="A35" s="8" t="s">
        <v>0</v>
      </c>
      <c r="B35" s="58">
        <v>90</v>
      </c>
      <c r="C35" s="48">
        <v>90</v>
      </c>
      <c r="D35" s="1" t="s">
        <v>10</v>
      </c>
      <c r="E35" s="88"/>
      <c r="F35" s="39" t="s">
        <v>32</v>
      </c>
      <c r="G35" s="9"/>
      <c r="H35" s="2"/>
      <c r="I35" s="2"/>
    </row>
    <row r="36" spans="1:9" x14ac:dyDescent="0.3">
      <c r="A36" s="8" t="s">
        <v>2</v>
      </c>
      <c r="B36" s="63">
        <v>0</v>
      </c>
      <c r="C36" s="48">
        <v>50</v>
      </c>
      <c r="D36" s="1" t="s">
        <v>10</v>
      </c>
      <c r="E36" s="84"/>
      <c r="F36" s="39" t="s">
        <v>32</v>
      </c>
      <c r="G36" s="9"/>
      <c r="H36" s="2"/>
      <c r="I36" s="2"/>
    </row>
    <row r="37" spans="1:9" x14ac:dyDescent="0.3">
      <c r="A37" s="29" t="s">
        <v>44</v>
      </c>
      <c r="B37" s="59">
        <f>SUM(B34:B36)</f>
        <v>130</v>
      </c>
      <c r="C37" s="49">
        <f>SUM(C34:C36)</f>
        <v>180</v>
      </c>
      <c r="D37" s="1"/>
      <c r="E37" s="68"/>
      <c r="F37" s="1"/>
      <c r="G37" s="9"/>
      <c r="H37" s="2"/>
      <c r="I37" s="2"/>
    </row>
    <row r="38" spans="1:9" x14ac:dyDescent="0.3">
      <c r="A38" s="5" t="s">
        <v>23</v>
      </c>
      <c r="B38" s="58"/>
      <c r="C38" s="48"/>
      <c r="D38" s="7"/>
      <c r="E38" s="68"/>
      <c r="F38" s="7"/>
      <c r="G38" s="9"/>
      <c r="H38" s="2"/>
      <c r="I38" s="2"/>
    </row>
    <row r="39" spans="1:9" x14ac:dyDescent="0.3">
      <c r="A39" s="8" t="s">
        <v>3</v>
      </c>
      <c r="B39" s="58">
        <v>40</v>
      </c>
      <c r="C39" s="48">
        <v>40</v>
      </c>
      <c r="D39" s="1" t="s">
        <v>11</v>
      </c>
      <c r="E39" s="87">
        <f>B42+C42</f>
        <v>680</v>
      </c>
      <c r="F39" s="39" t="s">
        <v>32</v>
      </c>
      <c r="G39" s="9"/>
      <c r="H39" s="2"/>
      <c r="I39" s="2"/>
    </row>
    <row r="40" spans="1:9" x14ac:dyDescent="0.3">
      <c r="A40" s="8" t="s">
        <v>4</v>
      </c>
      <c r="B40" s="58">
        <v>100</v>
      </c>
      <c r="C40" s="48">
        <v>100</v>
      </c>
      <c r="D40" s="1" t="s">
        <v>11</v>
      </c>
      <c r="E40" s="88"/>
      <c r="F40" s="39" t="s">
        <v>32</v>
      </c>
      <c r="G40" s="9"/>
      <c r="H40" s="2"/>
      <c r="I40" s="2"/>
    </row>
    <row r="41" spans="1:9" x14ac:dyDescent="0.3">
      <c r="A41" s="8" t="s">
        <v>5</v>
      </c>
      <c r="B41" s="58">
        <v>0</v>
      </c>
      <c r="C41" s="48">
        <v>400</v>
      </c>
      <c r="D41" s="1" t="s">
        <v>11</v>
      </c>
      <c r="E41" s="84"/>
      <c r="F41" s="39" t="s">
        <v>32</v>
      </c>
      <c r="G41" s="9"/>
    </row>
    <row r="42" spans="1:9" x14ac:dyDescent="0.3">
      <c r="A42" s="29" t="s">
        <v>44</v>
      </c>
      <c r="B42" s="59">
        <f>SUM(B39:B41)</f>
        <v>140</v>
      </c>
      <c r="C42" s="49">
        <f>SUM(C39:C41)</f>
        <v>540</v>
      </c>
      <c r="D42" s="1"/>
      <c r="E42" s="68"/>
      <c r="F42" s="1"/>
      <c r="G42" s="9"/>
    </row>
    <row r="43" spans="1:9" x14ac:dyDescent="0.3">
      <c r="A43" s="5" t="s">
        <v>24</v>
      </c>
      <c r="B43" s="58"/>
      <c r="C43" s="48"/>
      <c r="D43" s="7"/>
      <c r="E43" s="68"/>
      <c r="F43" s="7"/>
      <c r="G43" s="9"/>
    </row>
    <row r="44" spans="1:9" x14ac:dyDescent="0.3">
      <c r="A44" s="8" t="s">
        <v>6</v>
      </c>
      <c r="B44" s="58">
        <v>5</v>
      </c>
      <c r="C44" s="48">
        <v>5</v>
      </c>
      <c r="D44" s="1" t="s">
        <v>10</v>
      </c>
      <c r="E44" s="83">
        <f>B47+C47</f>
        <v>60</v>
      </c>
      <c r="F44" s="39" t="s">
        <v>32</v>
      </c>
      <c r="G44" s="9"/>
    </row>
    <row r="45" spans="1:9" x14ac:dyDescent="0.3">
      <c r="A45" s="8" t="s">
        <v>7</v>
      </c>
      <c r="B45" s="58">
        <v>20</v>
      </c>
      <c r="C45" s="48">
        <v>20</v>
      </c>
      <c r="D45" s="1" t="s">
        <v>10</v>
      </c>
      <c r="E45" s="88"/>
      <c r="F45" s="39" t="s">
        <v>32</v>
      </c>
      <c r="G45" s="9"/>
    </row>
    <row r="46" spans="1:9" x14ac:dyDescent="0.3">
      <c r="A46" s="8" t="s">
        <v>8</v>
      </c>
      <c r="B46" s="58">
        <v>5</v>
      </c>
      <c r="C46" s="48">
        <v>5</v>
      </c>
      <c r="D46" s="1" t="s">
        <v>10</v>
      </c>
      <c r="E46" s="84"/>
      <c r="F46" s="39" t="s">
        <v>32</v>
      </c>
      <c r="G46" s="9"/>
    </row>
    <row r="47" spans="1:9" x14ac:dyDescent="0.3">
      <c r="A47" s="29" t="s">
        <v>44</v>
      </c>
      <c r="B47" s="59">
        <f>SUM(B44:B46)</f>
        <v>30</v>
      </c>
      <c r="C47" s="49">
        <f>SUM(C44:C46)</f>
        <v>30</v>
      </c>
      <c r="D47" s="1"/>
      <c r="E47" s="68"/>
      <c r="F47" s="1"/>
      <c r="G47" s="9"/>
    </row>
    <row r="48" spans="1:9" x14ac:dyDescent="0.3">
      <c r="A48" s="41" t="s">
        <v>52</v>
      </c>
      <c r="B48" s="59">
        <f>SUM(B37,B42,B47)</f>
        <v>300</v>
      </c>
      <c r="C48" s="49">
        <f>SUM(C37,C42,C47)</f>
        <v>750</v>
      </c>
      <c r="D48" s="42" t="s">
        <v>53</v>
      </c>
      <c r="E48" s="72" t="s">
        <v>54</v>
      </c>
      <c r="F48" s="7" t="s">
        <v>55</v>
      </c>
      <c r="G48" s="9"/>
    </row>
    <row r="49" spans="1:7" x14ac:dyDescent="0.3">
      <c r="A49" s="5" t="s">
        <v>25</v>
      </c>
      <c r="B49" s="58"/>
      <c r="C49" s="48"/>
      <c r="D49" s="7"/>
      <c r="E49" s="68"/>
      <c r="F49" s="7"/>
      <c r="G49" s="9"/>
    </row>
    <row r="50" spans="1:7" x14ac:dyDescent="0.3">
      <c r="A50" s="8" t="s">
        <v>109</v>
      </c>
      <c r="B50" s="63">
        <v>120</v>
      </c>
      <c r="C50" s="64">
        <v>0</v>
      </c>
      <c r="D50" s="1"/>
      <c r="E50" s="87">
        <f>B53+C53</f>
        <v>290</v>
      </c>
      <c r="F50" s="39" t="s">
        <v>32</v>
      </c>
      <c r="G50" s="9"/>
    </row>
    <row r="51" spans="1:7" x14ac:dyDescent="0.3">
      <c r="A51" s="8" t="s">
        <v>110</v>
      </c>
      <c r="B51" s="63">
        <v>0</v>
      </c>
      <c r="C51" s="64">
        <v>170</v>
      </c>
      <c r="D51" s="1"/>
      <c r="E51" s="84"/>
      <c r="F51" s="39" t="s">
        <v>32</v>
      </c>
      <c r="G51" s="9"/>
    </row>
    <row r="52" spans="1:7" x14ac:dyDescent="0.3">
      <c r="A52" s="8"/>
      <c r="B52" s="58">
        <v>0</v>
      </c>
      <c r="C52" s="48">
        <v>0</v>
      </c>
      <c r="D52" s="1"/>
      <c r="E52" s="69">
        <f>SUM(C52)</f>
        <v>0</v>
      </c>
      <c r="F52" s="40" t="s">
        <v>68</v>
      </c>
      <c r="G52" s="9"/>
    </row>
    <row r="53" spans="1:7" x14ac:dyDescent="0.3">
      <c r="A53" s="29" t="s">
        <v>44</v>
      </c>
      <c r="B53" s="59">
        <f>SUM(B50:B52)</f>
        <v>120</v>
      </c>
      <c r="C53" s="49">
        <f>SUM(C50:C52)</f>
        <v>170</v>
      </c>
      <c r="D53" s="1"/>
      <c r="E53" s="70">
        <v>0</v>
      </c>
      <c r="F53" s="38" t="s">
        <v>126</v>
      </c>
      <c r="G53" s="9"/>
    </row>
    <row r="54" spans="1:7" x14ac:dyDescent="0.3">
      <c r="A54" s="5" t="s">
        <v>26</v>
      </c>
      <c r="B54" s="60"/>
      <c r="C54" s="50"/>
      <c r="D54" s="15"/>
      <c r="E54" s="68"/>
      <c r="F54" s="15"/>
      <c r="G54" s="9"/>
    </row>
    <row r="55" spans="1:7" x14ac:dyDescent="0.3">
      <c r="A55" s="9" t="s">
        <v>111</v>
      </c>
      <c r="B55" s="58">
        <f>30</f>
        <v>30</v>
      </c>
      <c r="C55" s="48">
        <f>30</f>
        <v>30</v>
      </c>
      <c r="D55" s="1"/>
      <c r="E55" s="83">
        <f>B60+C60</f>
        <v>520.14</v>
      </c>
      <c r="F55" s="39" t="s">
        <v>32</v>
      </c>
      <c r="G55" s="9"/>
    </row>
    <row r="56" spans="1:7" x14ac:dyDescent="0.3">
      <c r="A56" s="9" t="s">
        <v>112</v>
      </c>
      <c r="B56" s="58">
        <f>42</f>
        <v>42</v>
      </c>
      <c r="C56" s="48">
        <f>42</f>
        <v>42</v>
      </c>
      <c r="D56" s="1"/>
      <c r="E56" s="88"/>
      <c r="F56" s="39" t="s">
        <v>32</v>
      </c>
      <c r="G56" s="9"/>
    </row>
    <row r="57" spans="1:7" x14ac:dyDescent="0.3">
      <c r="A57" s="9" t="s">
        <v>113</v>
      </c>
      <c r="B57" s="58">
        <f>33</f>
        <v>33</v>
      </c>
      <c r="C57" s="48">
        <f>33</f>
        <v>33</v>
      </c>
      <c r="D57" s="1"/>
      <c r="E57" s="88"/>
      <c r="F57" s="39" t="s">
        <v>32</v>
      </c>
      <c r="G57" s="9"/>
    </row>
    <row r="58" spans="1:7" x14ac:dyDescent="0.3">
      <c r="A58" s="9" t="s">
        <v>114</v>
      </c>
      <c r="B58" s="58">
        <f>31*3</f>
        <v>93</v>
      </c>
      <c r="C58" s="48">
        <f>31*3</f>
        <v>93</v>
      </c>
      <c r="D58" s="27" t="s">
        <v>34</v>
      </c>
      <c r="E58" s="84"/>
      <c r="F58" s="39" t="s">
        <v>32</v>
      </c>
      <c r="G58" s="9"/>
    </row>
    <row r="59" spans="1:7" x14ac:dyDescent="0.3">
      <c r="A59" s="9" t="s">
        <v>115</v>
      </c>
      <c r="B59" s="58"/>
      <c r="C59" s="64">
        <v>124.14</v>
      </c>
      <c r="D59" s="27"/>
      <c r="E59" s="66">
        <f>C59</f>
        <v>124.14</v>
      </c>
      <c r="F59" s="40" t="s">
        <v>127</v>
      </c>
      <c r="G59" s="9"/>
    </row>
    <row r="60" spans="1:7" x14ac:dyDescent="0.3">
      <c r="A60" s="62" t="s">
        <v>62</v>
      </c>
      <c r="B60" s="59">
        <f>SUM(B55:B59)</f>
        <v>198</v>
      </c>
      <c r="C60" s="49">
        <f>SUM(C55:C59)</f>
        <v>322.14</v>
      </c>
      <c r="D60" s="1"/>
      <c r="E60" s="68"/>
      <c r="F60" s="1"/>
      <c r="G60" s="9"/>
    </row>
    <row r="61" spans="1:7" x14ac:dyDescent="0.3">
      <c r="A61" s="6" t="s">
        <v>27</v>
      </c>
      <c r="B61" s="60"/>
      <c r="C61" s="50"/>
      <c r="D61" s="15"/>
      <c r="E61" s="68"/>
      <c r="F61" s="15"/>
      <c r="G61" s="9"/>
    </row>
    <row r="62" spans="1:7" x14ac:dyDescent="0.3">
      <c r="A62" s="25" t="s">
        <v>116</v>
      </c>
      <c r="B62" s="58">
        <v>20</v>
      </c>
      <c r="C62" s="48"/>
      <c r="D62" s="17"/>
      <c r="E62" s="78">
        <v>20</v>
      </c>
      <c r="F62" s="38" t="s">
        <v>126</v>
      </c>
      <c r="G62" s="9" t="s">
        <v>72</v>
      </c>
    </row>
    <row r="63" spans="1:7" x14ac:dyDescent="0.3">
      <c r="A63" s="16"/>
      <c r="B63" s="63">
        <v>0</v>
      </c>
      <c r="C63" s="64">
        <v>300</v>
      </c>
      <c r="D63" s="17"/>
      <c r="E63" s="69">
        <f>SUM(C63)</f>
        <v>300</v>
      </c>
      <c r="F63" s="40" t="s">
        <v>127</v>
      </c>
      <c r="G63" s="9"/>
    </row>
    <row r="64" spans="1:7" x14ac:dyDescent="0.3">
      <c r="A64" s="29" t="s">
        <v>44</v>
      </c>
      <c r="B64" s="59">
        <f>SUM(B62:B63)</f>
        <v>20</v>
      </c>
      <c r="C64" s="49">
        <f>SUM(C62:C63)</f>
        <v>300</v>
      </c>
      <c r="D64" s="17"/>
      <c r="E64" s="68"/>
      <c r="F64" s="40"/>
      <c r="G64" s="9"/>
    </row>
    <row r="65" spans="1:7" x14ac:dyDescent="0.3">
      <c r="A65" s="6" t="s">
        <v>28</v>
      </c>
      <c r="B65" s="60"/>
      <c r="C65" s="50"/>
      <c r="D65" s="15"/>
      <c r="E65" s="68"/>
      <c r="F65" s="15"/>
      <c r="G65" s="9"/>
    </row>
    <row r="66" spans="1:7" x14ac:dyDescent="0.3">
      <c r="A66" s="8" t="s">
        <v>117</v>
      </c>
      <c r="B66" s="58">
        <v>1000</v>
      </c>
      <c r="C66" s="48">
        <v>1000</v>
      </c>
      <c r="D66" s="1" t="s">
        <v>63</v>
      </c>
      <c r="E66" s="87">
        <f>SUM(C66:C70)*2</f>
        <v>5800</v>
      </c>
      <c r="F66" s="39" t="s">
        <v>32</v>
      </c>
      <c r="G66" s="9" t="s">
        <v>72</v>
      </c>
    </row>
    <row r="67" spans="1:7" x14ac:dyDescent="0.3">
      <c r="A67" s="8" t="s">
        <v>118</v>
      </c>
      <c r="B67" s="58">
        <v>500</v>
      </c>
      <c r="C67" s="48">
        <v>500</v>
      </c>
      <c r="D67" s="1" t="s">
        <v>9</v>
      </c>
      <c r="E67" s="89"/>
      <c r="F67" s="39" t="s">
        <v>32</v>
      </c>
      <c r="G67" s="9" t="s">
        <v>72</v>
      </c>
    </row>
    <row r="68" spans="1:7" x14ac:dyDescent="0.3">
      <c r="A68" s="8" t="s">
        <v>119</v>
      </c>
      <c r="B68" s="58">
        <v>500</v>
      </c>
      <c r="C68" s="48">
        <v>500</v>
      </c>
      <c r="D68" s="1" t="s">
        <v>9</v>
      </c>
      <c r="E68" s="89"/>
      <c r="F68" s="39" t="s">
        <v>32</v>
      </c>
      <c r="G68" s="36"/>
    </row>
    <row r="69" spans="1:7" x14ac:dyDescent="0.3">
      <c r="A69" s="8" t="s">
        <v>120</v>
      </c>
      <c r="B69" s="58">
        <v>300</v>
      </c>
      <c r="C69" s="48">
        <v>300</v>
      </c>
      <c r="D69" s="1"/>
      <c r="E69" s="89"/>
      <c r="F69" s="39" t="s">
        <v>32</v>
      </c>
      <c r="G69" s="36"/>
    </row>
    <row r="70" spans="1:7" x14ac:dyDescent="0.3">
      <c r="A70" s="8" t="s">
        <v>121</v>
      </c>
      <c r="B70" s="58">
        <v>600</v>
      </c>
      <c r="C70" s="48">
        <v>600</v>
      </c>
      <c r="D70" s="1"/>
      <c r="E70" s="90"/>
      <c r="F70" s="39" t="s">
        <v>32</v>
      </c>
      <c r="G70" s="9"/>
    </row>
    <row r="71" spans="1:7" x14ac:dyDescent="0.3">
      <c r="A71" s="8" t="s">
        <v>122</v>
      </c>
      <c r="B71" s="58">
        <v>300</v>
      </c>
      <c r="C71" s="48"/>
      <c r="D71" s="1"/>
      <c r="E71" s="65">
        <v>300</v>
      </c>
      <c r="F71" s="38" t="s">
        <v>126</v>
      </c>
      <c r="G71" s="9"/>
    </row>
    <row r="72" spans="1:7" x14ac:dyDescent="0.3">
      <c r="A72" s="8" t="s">
        <v>123</v>
      </c>
      <c r="B72" s="58">
        <v>10</v>
      </c>
      <c r="C72" s="48"/>
      <c r="D72" s="1"/>
      <c r="E72" s="65">
        <v>10</v>
      </c>
      <c r="F72" s="38" t="s">
        <v>126</v>
      </c>
      <c r="G72" s="9"/>
    </row>
    <row r="73" spans="1:7" x14ac:dyDescent="0.3">
      <c r="A73" s="8" t="s">
        <v>123</v>
      </c>
      <c r="B73" s="58">
        <v>10</v>
      </c>
      <c r="C73" s="48"/>
      <c r="D73" s="1"/>
      <c r="E73" s="65">
        <v>10</v>
      </c>
      <c r="F73" s="38" t="s">
        <v>126</v>
      </c>
      <c r="G73" s="9"/>
    </row>
    <row r="74" spans="1:7" x14ac:dyDescent="0.3">
      <c r="A74" s="8" t="s">
        <v>64</v>
      </c>
      <c r="B74" s="58">
        <f>0/2</f>
        <v>0</v>
      </c>
      <c r="C74" s="48">
        <f>0/2</f>
        <v>0</v>
      </c>
      <c r="D74" s="1"/>
      <c r="E74" s="70">
        <f>SUM(B74)</f>
        <v>0</v>
      </c>
      <c r="F74" s="38" t="s">
        <v>126</v>
      </c>
      <c r="G74" s="9"/>
    </row>
    <row r="75" spans="1:7" x14ac:dyDescent="0.3">
      <c r="A75" s="9" t="s">
        <v>124</v>
      </c>
      <c r="B75" s="58">
        <v>0</v>
      </c>
      <c r="C75" s="48">
        <v>300</v>
      </c>
      <c r="D75" s="1"/>
      <c r="E75" s="69">
        <f>SUM(C75)</f>
        <v>300</v>
      </c>
      <c r="F75" s="40" t="s">
        <v>127</v>
      </c>
      <c r="G75" s="9"/>
    </row>
    <row r="76" spans="1:7" x14ac:dyDescent="0.3">
      <c r="A76" s="9" t="s">
        <v>125</v>
      </c>
      <c r="B76" s="58"/>
      <c r="C76" s="48">
        <v>400</v>
      </c>
      <c r="D76" s="1"/>
      <c r="E76" s="69">
        <f>C76</f>
        <v>400</v>
      </c>
      <c r="F76" s="40" t="s">
        <v>127</v>
      </c>
      <c r="G76" s="9"/>
    </row>
    <row r="77" spans="1:7" x14ac:dyDescent="0.3">
      <c r="A77" s="23"/>
      <c r="B77" s="59">
        <f>SUM(B66:B76)</f>
        <v>3220</v>
      </c>
      <c r="C77" s="49">
        <f>SUM(C66:C76)</f>
        <v>3600</v>
      </c>
      <c r="D77" s="1"/>
      <c r="E77" s="68"/>
      <c r="F77" s="1"/>
      <c r="G77" s="9"/>
    </row>
    <row r="78" spans="1:7" x14ac:dyDescent="0.3">
      <c r="A78" s="6" t="s">
        <v>29</v>
      </c>
      <c r="B78" s="60"/>
      <c r="C78" s="50"/>
      <c r="D78" s="15"/>
      <c r="E78" s="68"/>
      <c r="F78" s="15"/>
      <c r="G78" s="9"/>
    </row>
    <row r="79" spans="1:7" x14ac:dyDescent="0.3">
      <c r="A79" s="25" t="s">
        <v>80</v>
      </c>
      <c r="B79" s="63">
        <v>0</v>
      </c>
      <c r="C79" s="48">
        <v>0</v>
      </c>
      <c r="D79" s="28" t="s">
        <v>35</v>
      </c>
      <c r="E79" s="83">
        <f>SUM(B79:B81:B84)</f>
        <v>212.5</v>
      </c>
      <c r="F79" s="39" t="s">
        <v>32</v>
      </c>
      <c r="G79" s="9"/>
    </row>
    <row r="80" spans="1:7" x14ac:dyDescent="0.3">
      <c r="A80" s="25" t="s">
        <v>39</v>
      </c>
      <c r="B80" s="63">
        <v>12.5</v>
      </c>
      <c r="C80" s="48">
        <v>12.5</v>
      </c>
      <c r="D80" s="28" t="s">
        <v>35</v>
      </c>
      <c r="E80" s="88"/>
      <c r="F80" s="39" t="s">
        <v>32</v>
      </c>
      <c r="G80" s="9"/>
    </row>
    <row r="81" spans="1:9" x14ac:dyDescent="0.3">
      <c r="A81" s="25" t="s">
        <v>40</v>
      </c>
      <c r="B81" s="58">
        <v>25</v>
      </c>
      <c r="C81" s="48">
        <v>25</v>
      </c>
      <c r="D81" s="28" t="s">
        <v>35</v>
      </c>
      <c r="E81" s="84"/>
      <c r="F81" s="39" t="s">
        <v>32</v>
      </c>
      <c r="G81" s="9"/>
    </row>
    <row r="82" spans="1:9" x14ac:dyDescent="0.3">
      <c r="A82" s="26" t="s">
        <v>36</v>
      </c>
      <c r="B82" s="58">
        <v>25</v>
      </c>
      <c r="C82" s="48">
        <v>0</v>
      </c>
      <c r="D82" s="28" t="s">
        <v>35</v>
      </c>
      <c r="E82" s="110">
        <f>SUM(B82:B84)</f>
        <v>175</v>
      </c>
      <c r="F82" s="38" t="s">
        <v>126</v>
      </c>
      <c r="G82" s="9"/>
    </row>
    <row r="83" spans="1:9" x14ac:dyDescent="0.3">
      <c r="A83" s="26" t="s">
        <v>37</v>
      </c>
      <c r="B83" s="58">
        <v>150</v>
      </c>
      <c r="C83" s="48">
        <v>0</v>
      </c>
      <c r="D83" s="28" t="s">
        <v>35</v>
      </c>
      <c r="E83" s="111"/>
      <c r="F83" s="38" t="s">
        <v>126</v>
      </c>
      <c r="G83" s="9"/>
    </row>
    <row r="84" spans="1:9" x14ac:dyDescent="0.3">
      <c r="A84" s="26" t="s">
        <v>38</v>
      </c>
      <c r="B84" s="58">
        <v>0</v>
      </c>
      <c r="C84" s="48">
        <v>0</v>
      </c>
      <c r="D84" s="28" t="s">
        <v>35</v>
      </c>
      <c r="E84" s="112"/>
      <c r="F84" s="38"/>
      <c r="G84" s="9"/>
    </row>
    <row r="85" spans="1:9" x14ac:dyDescent="0.3">
      <c r="A85" s="26" t="s">
        <v>69</v>
      </c>
      <c r="B85" s="58"/>
      <c r="C85" s="48">
        <v>50</v>
      </c>
      <c r="D85" s="28"/>
      <c r="E85" s="66">
        <f>C85</f>
        <v>50</v>
      </c>
      <c r="F85" s="40" t="s">
        <v>127</v>
      </c>
      <c r="G85" s="9"/>
    </row>
    <row r="86" spans="1:9" x14ac:dyDescent="0.3">
      <c r="A86" s="26" t="s">
        <v>70</v>
      </c>
      <c r="B86" s="58"/>
      <c r="C86" s="48">
        <v>50</v>
      </c>
      <c r="D86" s="28"/>
      <c r="E86" s="66">
        <f>C86</f>
        <v>50</v>
      </c>
      <c r="F86" s="40" t="s">
        <v>127</v>
      </c>
      <c r="G86" s="9"/>
    </row>
    <row r="87" spans="1:9" x14ac:dyDescent="0.3">
      <c r="A87" s="29" t="s">
        <v>44</v>
      </c>
      <c r="B87" s="59">
        <f>SUM(B79:B86)</f>
        <v>212.5</v>
      </c>
      <c r="C87" s="49">
        <f>SUM(C79:C86)</f>
        <v>137.5</v>
      </c>
      <c r="D87" s="28"/>
      <c r="E87" s="68"/>
      <c r="F87" s="1"/>
      <c r="G87" s="9"/>
    </row>
    <row r="88" spans="1:9" s="11" customFormat="1" x14ac:dyDescent="0.3">
      <c r="A88" s="30" t="s">
        <v>43</v>
      </c>
      <c r="B88" s="61">
        <f>SUM(B87,B77,B64,B60,B53,B47,B42,B37,B32,B24,B21,B17,B14)</f>
        <v>5644.5</v>
      </c>
      <c r="C88" s="51">
        <f>SUM(C87,C77,C64,C60,C53,C47,C42,C37,C32,C24,C21,C17,C14)</f>
        <v>9582.73</v>
      </c>
      <c r="D88" s="10"/>
      <c r="E88" s="68"/>
      <c r="F88" s="10"/>
      <c r="G88" s="79"/>
      <c r="H88" s="12"/>
      <c r="I88" s="13"/>
    </row>
    <row r="89" spans="1:9" x14ac:dyDescent="0.3">
      <c r="A89" s="76" t="s">
        <v>130</v>
      </c>
      <c r="B89" s="75">
        <f>SUM(E82+E74+E73+E72+E62+E53+E30+E20+E16+E8)</f>
        <v>4297</v>
      </c>
      <c r="C89" s="31"/>
      <c r="E89" s="73" t="s">
        <v>51</v>
      </c>
    </row>
    <row r="90" spans="1:9" x14ac:dyDescent="0.3">
      <c r="A90" s="77" t="s">
        <v>131</v>
      </c>
      <c r="B90" s="31"/>
      <c r="C90" s="74">
        <f>E86+E85+E76+E75+E63+E59+E31+E23+E13</f>
        <v>3444.1400000000003</v>
      </c>
    </row>
    <row r="91" spans="1:9" x14ac:dyDescent="0.3">
      <c r="A91" s="32" t="s">
        <v>46</v>
      </c>
      <c r="B91" s="33">
        <f>SUM(B88-B89)</f>
        <v>1347.5</v>
      </c>
      <c r="C91" s="33">
        <v>0</v>
      </c>
    </row>
    <row r="92" spans="1:9" x14ac:dyDescent="0.3">
      <c r="A92" s="34" t="s">
        <v>47</v>
      </c>
      <c r="B92" s="35">
        <f>B88/50</f>
        <v>112.89</v>
      </c>
      <c r="C92" s="35">
        <f>C88/82</f>
        <v>116.86256097560975</v>
      </c>
      <c r="D92" s="4" t="s">
        <v>76</v>
      </c>
    </row>
    <row r="93" spans="1:9" x14ac:dyDescent="0.3">
      <c r="A93" s="8"/>
      <c r="B93" s="36"/>
      <c r="C93" s="36"/>
    </row>
    <row r="94" spans="1:9" x14ac:dyDescent="0.3">
      <c r="A94" s="76" t="s">
        <v>132</v>
      </c>
      <c r="B94" s="75">
        <f>(70*50)-B89</f>
        <v>-797</v>
      </c>
      <c r="C94" s="31"/>
      <c r="D94" s="4" t="s">
        <v>67</v>
      </c>
    </row>
    <row r="95" spans="1:9" x14ac:dyDescent="0.3">
      <c r="A95" s="77" t="s">
        <v>133</v>
      </c>
      <c r="B95" s="31"/>
      <c r="C95" s="74">
        <f>(50*82)-C90</f>
        <v>655.85999999999967</v>
      </c>
      <c r="D95" s="4" t="s">
        <v>77</v>
      </c>
    </row>
    <row r="96" spans="1:9" x14ac:dyDescent="0.3">
      <c r="A96" s="37" t="s">
        <v>48</v>
      </c>
      <c r="B96" s="82">
        <f>SUM(C88+B88)</f>
        <v>15227.23</v>
      </c>
      <c r="C96" s="82"/>
    </row>
  </sheetData>
  <mergeCells count="14">
    <mergeCell ref="B96:C96"/>
    <mergeCell ref="E3:E4"/>
    <mergeCell ref="E5:E6"/>
    <mergeCell ref="E8:E12"/>
    <mergeCell ref="E34:E36"/>
    <mergeCell ref="E39:E41"/>
    <mergeCell ref="E44:E46"/>
    <mergeCell ref="E50:E51"/>
    <mergeCell ref="E55:E58"/>
    <mergeCell ref="E66:E70"/>
    <mergeCell ref="E79:E81"/>
    <mergeCell ref="E82:E84"/>
    <mergeCell ref="E26:E29"/>
    <mergeCell ref="B8:B11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landscape" horizontalDpi="1200" verticalDpi="1200" r:id="rId1"/>
  <headerFooter>
    <oddHeader>&amp;C&amp;"-,Gras"&amp;14Calcul des coûts financiers engendrés suite à l'organisation des PAD 2022 S43 &amp; &amp;S44</oddHeader>
    <oddFooter>&amp;LCalculs réalisés à partir des envois des services Finances, Personnel, ATL, Punch asbl et Animagique asbl et envoyés par AFL le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D4866-A52A-492E-B60D-41A9B18396C1}">
  <dimension ref="A1:I15"/>
  <sheetViews>
    <sheetView workbookViewId="0">
      <selection activeCell="A15" sqref="A15"/>
    </sheetView>
  </sheetViews>
  <sheetFormatPr baseColWidth="10" defaultRowHeight="14.4" x14ac:dyDescent="0.3"/>
  <cols>
    <col min="1" max="1" width="11.5546875" style="92"/>
    <col min="2" max="2" width="14.109375" style="92" customWidth="1"/>
    <col min="3" max="3" width="7.33203125" style="92" customWidth="1"/>
    <col min="4" max="16384" width="11.5546875" style="92"/>
  </cols>
  <sheetData>
    <row r="1" spans="1:9" x14ac:dyDescent="0.3">
      <c r="A1" s="91" t="s">
        <v>103</v>
      </c>
      <c r="B1" s="91"/>
      <c r="C1" s="91"/>
      <c r="D1" s="91"/>
      <c r="E1" s="91"/>
      <c r="F1" s="91"/>
      <c r="G1" s="91"/>
      <c r="H1" s="91"/>
      <c r="I1" s="91"/>
    </row>
    <row r="2" spans="1:9" ht="57.6" x14ac:dyDescent="0.3">
      <c r="A2" s="93" t="s">
        <v>81</v>
      </c>
      <c r="B2" s="94" t="s">
        <v>82</v>
      </c>
      <c r="C2" s="93" t="s">
        <v>83</v>
      </c>
      <c r="D2" s="93" t="s">
        <v>84</v>
      </c>
      <c r="E2" s="93" t="s">
        <v>85</v>
      </c>
      <c r="F2" s="93" t="s">
        <v>86</v>
      </c>
      <c r="G2" s="93" t="s">
        <v>87</v>
      </c>
      <c r="H2" s="93" t="s">
        <v>88</v>
      </c>
      <c r="I2" s="94" t="s">
        <v>89</v>
      </c>
    </row>
    <row r="3" spans="1:9" x14ac:dyDescent="0.3">
      <c r="A3" s="95" t="s">
        <v>90</v>
      </c>
      <c r="B3" s="95" t="s">
        <v>91</v>
      </c>
      <c r="C3" s="95" t="s">
        <v>92</v>
      </c>
      <c r="D3" s="96">
        <f>1246.24+349.66</f>
        <v>1595.9</v>
      </c>
      <c r="E3" s="97">
        <f>+D3/4.35</f>
        <v>366.87356321839087</v>
      </c>
      <c r="F3" s="97">
        <f>+E3/16.66</f>
        <v>22.021222282016257</v>
      </c>
      <c r="G3" s="99"/>
      <c r="H3" s="101">
        <v>38</v>
      </c>
      <c r="I3" s="103">
        <f>+F3*G3</f>
        <v>0</v>
      </c>
    </row>
    <row r="4" spans="1:9" x14ac:dyDescent="0.3">
      <c r="A4" s="95" t="s">
        <v>93</v>
      </c>
      <c r="B4" s="95" t="s">
        <v>91</v>
      </c>
      <c r="C4" s="95" t="s">
        <v>92</v>
      </c>
      <c r="D4" s="96">
        <f>1335.22+385.34</f>
        <v>1720.56</v>
      </c>
      <c r="E4" s="97">
        <f t="shared" ref="E4:E12" si="0">+D4/4.35</f>
        <v>395.53103448275863</v>
      </c>
      <c r="F4" s="97">
        <f>+E4/19.83</f>
        <v>19.946093519049857</v>
      </c>
      <c r="G4" s="99"/>
      <c r="H4" s="101">
        <v>38</v>
      </c>
      <c r="I4" s="103">
        <f>+F4*H4</f>
        <v>757.95155372389456</v>
      </c>
    </row>
    <row r="5" spans="1:9" x14ac:dyDescent="0.3">
      <c r="A5" s="95" t="s">
        <v>94</v>
      </c>
      <c r="B5" s="95" t="s">
        <v>91</v>
      </c>
      <c r="C5" s="95" t="s">
        <v>92</v>
      </c>
      <c r="D5" s="96">
        <v>0</v>
      </c>
      <c r="E5" s="97">
        <f t="shared" si="0"/>
        <v>0</v>
      </c>
      <c r="F5" s="98"/>
      <c r="G5" s="99"/>
      <c r="H5" s="101"/>
      <c r="I5" s="103"/>
    </row>
    <row r="6" spans="1:9" x14ac:dyDescent="0.3">
      <c r="A6" s="95" t="s">
        <v>95</v>
      </c>
      <c r="B6" s="95" t="s">
        <v>91</v>
      </c>
      <c r="C6" s="95" t="s">
        <v>92</v>
      </c>
      <c r="D6" s="96">
        <v>0</v>
      </c>
      <c r="E6" s="97">
        <f t="shared" si="0"/>
        <v>0</v>
      </c>
      <c r="F6" s="98"/>
      <c r="G6" s="99"/>
      <c r="H6" s="101"/>
      <c r="I6" s="103"/>
    </row>
    <row r="7" spans="1:9" x14ac:dyDescent="0.3">
      <c r="A7" s="95" t="s">
        <v>96</v>
      </c>
      <c r="B7" s="95" t="s">
        <v>97</v>
      </c>
      <c r="C7" s="95" t="s">
        <v>92</v>
      </c>
      <c r="D7" s="96">
        <v>1908.54</v>
      </c>
      <c r="E7" s="97">
        <f t="shared" si="0"/>
        <v>438.74482758620695</v>
      </c>
      <c r="F7" s="97">
        <f>+E7/22</f>
        <v>19.942946708463953</v>
      </c>
      <c r="G7" s="99">
        <v>3</v>
      </c>
      <c r="H7" s="101"/>
      <c r="I7" s="103">
        <f>+F7*G7</f>
        <v>59.828840125391864</v>
      </c>
    </row>
    <row r="8" spans="1:9" x14ac:dyDescent="0.3">
      <c r="A8" s="95" t="s">
        <v>98</v>
      </c>
      <c r="B8" s="95" t="s">
        <v>91</v>
      </c>
      <c r="C8" s="95" t="s">
        <v>92</v>
      </c>
      <c r="D8" s="96">
        <v>1453.85</v>
      </c>
      <c r="E8" s="97">
        <f t="shared" si="0"/>
        <v>334.21839080459773</v>
      </c>
      <c r="F8" s="97">
        <f>+E8/16.5</f>
        <v>20.255660048763499</v>
      </c>
      <c r="G8" s="99">
        <v>38</v>
      </c>
      <c r="H8" s="101"/>
      <c r="I8" s="103">
        <f>+F8*G8</f>
        <v>769.71508185301298</v>
      </c>
    </row>
    <row r="9" spans="1:9" x14ac:dyDescent="0.3">
      <c r="A9" s="95" t="s">
        <v>99</v>
      </c>
      <c r="B9" s="95" t="s">
        <v>91</v>
      </c>
      <c r="C9" s="95" t="s">
        <v>92</v>
      </c>
      <c r="D9" s="96">
        <v>2273.2600000000002</v>
      </c>
      <c r="E9" s="97">
        <f t="shared" si="0"/>
        <v>522.58850574712653</v>
      </c>
      <c r="F9" s="97">
        <f>+E9/26.33</f>
        <v>19.847645489826302</v>
      </c>
      <c r="G9" s="99"/>
      <c r="H9" s="101"/>
      <c r="I9" s="103">
        <f>+F9*H9</f>
        <v>0</v>
      </c>
    </row>
    <row r="10" spans="1:9" x14ac:dyDescent="0.3">
      <c r="A10" s="95" t="s">
        <v>100</v>
      </c>
      <c r="B10" s="95" t="s">
        <v>91</v>
      </c>
      <c r="C10" s="95" t="s">
        <v>92</v>
      </c>
      <c r="D10" s="96">
        <v>0</v>
      </c>
      <c r="E10" s="97">
        <f t="shared" si="0"/>
        <v>0</v>
      </c>
      <c r="F10" s="98"/>
      <c r="G10" s="99">
        <v>38</v>
      </c>
      <c r="H10" s="101"/>
      <c r="I10" s="104"/>
    </row>
    <row r="11" spans="1:9" x14ac:dyDescent="0.3">
      <c r="A11" s="95" t="s">
        <v>101</v>
      </c>
      <c r="B11" s="95" t="s">
        <v>97</v>
      </c>
      <c r="C11" s="95" t="s">
        <v>92</v>
      </c>
      <c r="D11" s="96">
        <f>1201.09+346.64</f>
        <v>1547.73</v>
      </c>
      <c r="E11" s="97">
        <f t="shared" si="0"/>
        <v>355.8</v>
      </c>
      <c r="F11" s="97">
        <f>+E11/19</f>
        <v>18.726315789473684</v>
      </c>
      <c r="G11" s="99">
        <v>3</v>
      </c>
      <c r="H11" s="101">
        <v>3</v>
      </c>
      <c r="I11" s="103">
        <f>+F11*6</f>
        <v>112.3578947368421</v>
      </c>
    </row>
    <row r="12" spans="1:9" x14ac:dyDescent="0.3">
      <c r="A12" s="95" t="s">
        <v>102</v>
      </c>
      <c r="B12" s="95" t="s">
        <v>91</v>
      </c>
      <c r="C12" s="95" t="s">
        <v>92</v>
      </c>
      <c r="D12" s="96">
        <v>0</v>
      </c>
      <c r="E12" s="97">
        <f t="shared" si="0"/>
        <v>0</v>
      </c>
      <c r="F12" s="98"/>
      <c r="G12" s="100"/>
      <c r="H12" s="102"/>
      <c r="I12" s="105"/>
    </row>
    <row r="13" spans="1:9" x14ac:dyDescent="0.3">
      <c r="A13" s="98"/>
      <c r="B13" s="98"/>
      <c r="C13" s="98"/>
      <c r="D13" s="98"/>
      <c r="E13" s="98"/>
      <c r="F13" s="98"/>
      <c r="G13" s="98"/>
      <c r="H13" s="98"/>
      <c r="I13" s="103">
        <f>SUM(I3:I12)</f>
        <v>1699.8533704391414</v>
      </c>
    </row>
    <row r="15" spans="1:9" x14ac:dyDescent="0.3">
      <c r="A15" s="92" t="s">
        <v>134</v>
      </c>
    </row>
  </sheetData>
  <mergeCells count="1">
    <mergeCell ref="A1:I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Calcul Frais des Partenaires</vt:lpstr>
      <vt:lpstr>Frais Partenaire Agréé</vt:lpstr>
      <vt:lpstr>'Calcul Frais des Partenaires'!Impression_des_titres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Pavlos Kimtsaris</dc:creator>
  <cp:lastModifiedBy>Coord.PCCATL</cp:lastModifiedBy>
  <cp:lastPrinted>2023-03-31T18:07:56Z</cp:lastPrinted>
  <dcterms:created xsi:type="dcterms:W3CDTF">2022-12-08T10:17:18Z</dcterms:created>
  <dcterms:modified xsi:type="dcterms:W3CDTF">2023-04-04T16:40:13Z</dcterms:modified>
</cp:coreProperties>
</file>